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10068countus-my.sharepoint.com/personal/m_hoepel_countus_nl/Documents/"/>
    </mc:Choice>
  </mc:AlternateContent>
  <xr:revisionPtr revIDLastSave="2" documentId="8_{CC4FF797-6E44-4C29-A700-EB75B5D3A751}" xr6:coauthVersionLast="47" xr6:coauthVersionMax="47" xr10:uidLastSave="{91799167-2320-46C7-83CA-30BFFF36E587}"/>
  <bookViews>
    <workbookView xWindow="-120" yWindow="-120" windowWidth="29040" windowHeight="15720" xr2:uid="{6AFC4373-0BF3-424A-B8EB-DA6AC019433C}"/>
  </bookViews>
  <sheets>
    <sheet name="Blad1" sheetId="1" r:id="rId1"/>
    <sheet name="Blad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6" i="2" l="1"/>
  <c r="G47" i="1"/>
  <c r="B48" i="1"/>
  <c r="G48" i="1" s="1"/>
  <c r="B49" i="1"/>
  <c r="G49" i="1" s="1"/>
  <c r="B50" i="1"/>
  <c r="B51" i="1"/>
  <c r="B52" i="1"/>
  <c r="B53" i="1"/>
  <c r="G53" i="1" s="1"/>
  <c r="B47" i="1"/>
  <c r="C48" i="1"/>
  <c r="C49" i="1"/>
  <c r="C50" i="1"/>
  <c r="C51" i="1"/>
  <c r="C52" i="1"/>
  <c r="C53" i="1"/>
  <c r="C47" i="1"/>
  <c r="B13" i="2"/>
  <c r="A13" i="2"/>
  <c r="C4" i="2"/>
  <c r="F5" i="1"/>
  <c r="G56" i="1" l="1"/>
  <c r="B37" i="1"/>
  <c r="F38" i="1" s="1"/>
  <c r="B38" i="1"/>
  <c r="B39" i="1"/>
  <c r="F20" i="1"/>
  <c r="G51" i="1" l="1"/>
  <c r="G57" i="1" s="1"/>
  <c r="H39" i="1"/>
  <c r="B40" i="1"/>
  <c r="H40" i="1" s="1"/>
  <c r="H38" i="1"/>
  <c r="B21" i="1"/>
  <c r="H21" i="1" s="1"/>
  <c r="B22" i="1"/>
  <c r="H22" i="1" s="1"/>
  <c r="B20" i="1"/>
  <c r="H20" i="1" s="1"/>
  <c r="H6" i="1"/>
  <c r="H7" i="1"/>
  <c r="H5" i="1"/>
  <c r="H8" i="1" l="1"/>
  <c r="H13" i="1" s="1"/>
  <c r="H16" i="1" s="1"/>
  <c r="H23" i="1"/>
  <c r="H41" i="1"/>
  <c r="H44" i="1" l="1"/>
  <c r="H25" i="1"/>
  <c r="H45" i="1" s="1"/>
</calcChain>
</file>

<file path=xl/sharedStrings.xml><?xml version="1.0" encoding="utf-8"?>
<sst xmlns="http://schemas.openxmlformats.org/spreadsheetml/2006/main" count="78" uniqueCount="61">
  <si>
    <t>melkkoeien</t>
  </si>
  <si>
    <t>melkproductie/koe/jaar</t>
  </si>
  <si>
    <t>kalveren</t>
  </si>
  <si>
    <t>pinken</t>
  </si>
  <si>
    <t>Fosfaat per dier</t>
  </si>
  <si>
    <t>Benodigde fosfaatrechten</t>
  </si>
  <si>
    <t>Totaal</t>
  </si>
  <si>
    <t>Emissiesysteem</t>
  </si>
  <si>
    <t>Ammoniak per dier</t>
  </si>
  <si>
    <t>Kilogram ammoniak/fosfaatrecht</t>
  </si>
  <si>
    <t>Melkkoeien weg doen</t>
  </si>
  <si>
    <t>kalveren weg doen</t>
  </si>
  <si>
    <t>pinken weg doen</t>
  </si>
  <si>
    <t>Investering emissie arm systeem</t>
  </si>
  <si>
    <t>emissie uit pensfermentatie</t>
  </si>
  <si>
    <t>emissie uit stal en mestopslag</t>
  </si>
  <si>
    <t>CO2 emissie per fosfaatrecht</t>
  </si>
  <si>
    <t>Doel co2 emissie per fosfaatrecht</t>
  </si>
  <si>
    <t>Benodigde reductie</t>
  </si>
  <si>
    <t>lijsten</t>
  </si>
  <si>
    <t>1.26 swaans comfortvloer G3.1</t>
  </si>
  <si>
    <t>1.34 V17 Agro Groovevloer</t>
  </si>
  <si>
    <t>1.35 Hanskamp Cowtoilet</t>
  </si>
  <si>
    <t>1.38 Lely Sphere</t>
  </si>
  <si>
    <t>nh3</t>
  </si>
  <si>
    <t>1.100 Overige stalsystemen</t>
  </si>
  <si>
    <t>Aantal fosfaatrechten bijkopen</t>
  </si>
  <si>
    <t>Bereken hier zelf de gevolgen van de stikstofbrief voor jouw bedrijf, op het gebied van ammoniak en Co2!</t>
  </si>
  <si>
    <t>Vul hieronder de gele vlakken in</t>
  </si>
  <si>
    <t>Huidige ammoniakuitstoot: Kies bij het gele vlak het stalysteem dat je nu hebt.</t>
  </si>
  <si>
    <t>Doel vanuit de overheid is:</t>
  </si>
  <si>
    <t>Huidige CO2 emissie (Zie bladzijde 9 van (de uitgebreide versie) je kringloopwijzer rapport. Zie voorbeeld hiernaast</t>
  </si>
  <si>
    <t>Vul in de gele vakken maatregelen in om je ammoniakuitstoot te verlagen. Je kunt kiezen voor een van de maatregelen maar ook combineren</t>
  </si>
  <si>
    <t xml:space="preserve"> &lt; 5624</t>
  </si>
  <si>
    <t>5625 - 5874</t>
  </si>
  <si>
    <t>5875 - 6124</t>
  </si>
  <si>
    <t>6125 - 6374</t>
  </si>
  <si>
    <t>6375 - 6624</t>
  </si>
  <si>
    <t>6625 - 6874</t>
  </si>
  <si>
    <t>6875 - 7124</t>
  </si>
  <si>
    <t>7125 - 7374</t>
  </si>
  <si>
    <t>7375 - 7624</t>
  </si>
  <si>
    <t>7625 - 7874</t>
  </si>
  <si>
    <t>7875 - 8124</t>
  </si>
  <si>
    <t>8125 - 8374</t>
  </si>
  <si>
    <t>8375 - 8624</t>
  </si>
  <si>
    <t>8625 - 8874</t>
  </si>
  <si>
    <t>8875 - 9124</t>
  </si>
  <si>
    <t>9125 - 9374</t>
  </si>
  <si>
    <t>9375 - 9624</t>
  </si>
  <si>
    <t>9625 - 9874</t>
  </si>
  <si>
    <t>9875 - 10124</t>
  </si>
  <si>
    <t>10125 - 10374</t>
  </si>
  <si>
    <t>10375 - 10624</t>
  </si>
  <si>
    <t>10625 &gt;</t>
  </si>
  <si>
    <t>Financiële gevolgen:</t>
  </si>
  <si>
    <t>per koe</t>
  </si>
  <si>
    <t>kosten aankoop vaars - opbrengst</t>
  </si>
  <si>
    <t>saldoverlies bij 0,3 per kg melk</t>
  </si>
  <si>
    <t>Extra jaarlijkse kosten</t>
  </si>
  <si>
    <t>Eenmalige investering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</si>
</sst>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Segoe UI"/>
      <family val="2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vertical="center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5" xfId="0" applyBorder="1"/>
    <xf numFmtId="1" fontId="0" fillId="0" borderId="5" xfId="0" applyNumberFormat="1" applyBorder="1"/>
    <xf numFmtId="0" fontId="0" fillId="0" borderId="6" xfId="0" applyBorder="1"/>
    <xf numFmtId="0" fontId="0" fillId="0" borderId="7" xfId="0" applyBorder="1"/>
    <xf numFmtId="1" fontId="2" fillId="0" borderId="8" xfId="0" applyNumberFormat="1" applyFont="1" applyBorder="1"/>
    <xf numFmtId="0" fontId="0" fillId="0" borderId="4" xfId="0" applyBorder="1"/>
    <xf numFmtId="165" fontId="0" fillId="0" borderId="5" xfId="0" applyNumberFormat="1" applyBorder="1"/>
    <xf numFmtId="0" fontId="1" fillId="0" borderId="6" xfId="0" applyFont="1" applyBorder="1"/>
    <xf numFmtId="0" fontId="1" fillId="0" borderId="7" xfId="0" applyFont="1" applyBorder="1"/>
    <xf numFmtId="9" fontId="1" fillId="0" borderId="8" xfId="1" applyFont="1" applyFill="1" applyBorder="1" applyProtection="1"/>
    <xf numFmtId="164" fontId="1" fillId="0" borderId="5" xfId="0" applyNumberFormat="1" applyFont="1" applyBorder="1"/>
    <xf numFmtId="0" fontId="1" fillId="0" borderId="8" xfId="0" applyFont="1" applyBorder="1"/>
    <xf numFmtId="0" fontId="6" fillId="0" borderId="4" xfId="0" applyFont="1" applyBorder="1"/>
    <xf numFmtId="0" fontId="6" fillId="0" borderId="0" xfId="0" applyFont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9" fontId="1" fillId="0" borderId="8" xfId="1" applyFont="1" applyBorder="1" applyProtection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Procent" xfId="1" builtinId="5"/>
    <cellStyle name="Standaard" xfId="0" builtinId="0"/>
  </cellStyles>
  <dxfs count="4">
    <dxf>
      <font>
        <color auto="1"/>
      </font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80043</xdr:colOff>
      <xdr:row>8</xdr:row>
      <xdr:rowOff>0</xdr:rowOff>
    </xdr:from>
    <xdr:to>
      <xdr:col>14</xdr:col>
      <xdr:colOff>1400932</xdr:colOff>
      <xdr:row>21</xdr:row>
      <xdr:rowOff>47741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E64B25E-ABCC-E43A-0CE4-AF332A9CE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7795" y="1152605"/>
          <a:ext cx="6563641" cy="2553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E34AE-49AB-4CCF-8DEC-D1D1D1323BB3}">
  <sheetPr codeName="Blad1"/>
  <dimension ref="B1:O57"/>
  <sheetViews>
    <sheetView tabSelected="1" topLeftCell="A6" zoomScale="119" workbookViewId="0">
      <selection activeCell="H12" sqref="H12"/>
    </sheetView>
  </sheetViews>
  <sheetFormatPr defaultRowHeight="15" x14ac:dyDescent="0.25"/>
  <cols>
    <col min="2" max="2" width="22.85546875" customWidth="1"/>
    <col min="6" max="6" width="14.85546875" bestFit="1" customWidth="1"/>
    <col min="7" max="7" width="12.85546875" customWidth="1"/>
    <col min="8" max="8" width="23.85546875" bestFit="1" customWidth="1"/>
    <col min="10" max="10" width="28.42578125" customWidth="1"/>
    <col min="14" max="14" width="13.7109375" bestFit="1" customWidth="1"/>
    <col min="15" max="15" width="31.5703125" bestFit="1" customWidth="1"/>
  </cols>
  <sheetData>
    <row r="1" spans="2:8" x14ac:dyDescent="0.25">
      <c r="B1" s="32" t="s">
        <v>27</v>
      </c>
      <c r="C1" s="32"/>
      <c r="D1" s="32"/>
      <c r="E1" s="32"/>
      <c r="F1" s="32"/>
      <c r="G1" s="32"/>
      <c r="H1" s="32"/>
    </row>
    <row r="3" spans="2:8" x14ac:dyDescent="0.25">
      <c r="B3" s="29" t="s">
        <v>28</v>
      </c>
      <c r="C3" s="30"/>
      <c r="D3" s="30"/>
      <c r="E3" s="30"/>
      <c r="F3" s="30"/>
      <c r="G3" s="30"/>
      <c r="H3" s="31"/>
    </row>
    <row r="4" spans="2:8" x14ac:dyDescent="0.25">
      <c r="B4" s="2"/>
      <c r="C4" t="s">
        <v>1</v>
      </c>
      <c r="F4" t="s">
        <v>4</v>
      </c>
      <c r="H4" s="4" t="s">
        <v>5</v>
      </c>
    </row>
    <row r="5" spans="2:8" x14ac:dyDescent="0.25">
      <c r="B5" s="2"/>
      <c r="C5" t="s">
        <v>0</v>
      </c>
      <c r="F5">
        <f>_xlfn.XLOOKUP(B4,Blad2!G1:G22,Blad2!I1:I22, "Buiten bereik", -1)</f>
        <v>49.3</v>
      </c>
      <c r="H5" s="5">
        <f>B5*F5</f>
        <v>0</v>
      </c>
    </row>
    <row r="6" spans="2:8" x14ac:dyDescent="0.25">
      <c r="B6" s="2"/>
      <c r="C6" t="s">
        <v>2</v>
      </c>
      <c r="F6">
        <v>9.6</v>
      </c>
      <c r="H6" s="5">
        <f t="shared" ref="H6:H7" si="0">B6*F6</f>
        <v>0</v>
      </c>
    </row>
    <row r="7" spans="2:8" x14ac:dyDescent="0.25">
      <c r="B7" s="2"/>
      <c r="C7" t="s">
        <v>3</v>
      </c>
      <c r="F7">
        <v>21.9</v>
      </c>
      <c r="H7" s="5">
        <f t="shared" si="0"/>
        <v>0</v>
      </c>
    </row>
    <row r="8" spans="2:8" x14ac:dyDescent="0.25">
      <c r="B8" s="6"/>
      <c r="C8" s="7"/>
      <c r="D8" s="7"/>
      <c r="E8" s="7"/>
      <c r="F8" s="7"/>
      <c r="G8" s="7" t="s">
        <v>6</v>
      </c>
      <c r="H8" s="8">
        <f>SUM(H5:H7)</f>
        <v>0</v>
      </c>
    </row>
    <row r="10" spans="2:8" x14ac:dyDescent="0.25">
      <c r="B10" s="23" t="s">
        <v>31</v>
      </c>
      <c r="C10" s="24"/>
      <c r="D10" s="24"/>
      <c r="E10" s="24"/>
      <c r="F10" s="24"/>
      <c r="G10" s="24"/>
      <c r="H10" s="25"/>
    </row>
    <row r="11" spans="2:8" x14ac:dyDescent="0.25">
      <c r="B11" s="9" t="s">
        <v>14</v>
      </c>
      <c r="H11" s="3">
        <v>0</v>
      </c>
    </row>
    <row r="12" spans="2:8" x14ac:dyDescent="0.25">
      <c r="B12" s="9" t="s">
        <v>15</v>
      </c>
      <c r="H12" s="3">
        <v>0</v>
      </c>
    </row>
    <row r="13" spans="2:8" x14ac:dyDescent="0.25">
      <c r="B13" s="9" t="s">
        <v>16</v>
      </c>
      <c r="H13" s="10" t="e">
        <f>(H12+H11)/H8</f>
        <v>#DIV/0!</v>
      </c>
    </row>
    <row r="14" spans="2:8" x14ac:dyDescent="0.25">
      <c r="B14" s="9"/>
      <c r="H14" s="4"/>
    </row>
    <row r="15" spans="2:8" x14ac:dyDescent="0.25">
      <c r="B15" s="9" t="s">
        <v>17</v>
      </c>
      <c r="H15" s="4">
        <v>92</v>
      </c>
    </row>
    <row r="16" spans="2:8" x14ac:dyDescent="0.25">
      <c r="B16" s="11" t="s">
        <v>18</v>
      </c>
      <c r="C16" s="12"/>
      <c r="D16" s="12"/>
      <c r="E16" s="12"/>
      <c r="F16" s="12"/>
      <c r="G16" s="12"/>
      <c r="H16" s="13" t="e">
        <f>( H13-H15)/H15</f>
        <v>#DIV/0!</v>
      </c>
    </row>
    <row r="18" spans="2:15" ht="15.75" x14ac:dyDescent="0.25">
      <c r="B18" s="33" t="s">
        <v>29</v>
      </c>
      <c r="C18" s="34"/>
      <c r="D18" s="34"/>
      <c r="E18" s="34"/>
      <c r="F18" s="34"/>
      <c r="G18" s="34"/>
      <c r="H18" s="35"/>
    </row>
    <row r="19" spans="2:15" x14ac:dyDescent="0.25">
      <c r="B19" s="2" t="s">
        <v>25</v>
      </c>
      <c r="C19" t="s">
        <v>7</v>
      </c>
      <c r="F19" t="s">
        <v>8</v>
      </c>
      <c r="H19" s="4"/>
    </row>
    <row r="20" spans="2:15" x14ac:dyDescent="0.25">
      <c r="B20" s="9">
        <f>B5</f>
        <v>0</v>
      </c>
      <c r="C20" t="s">
        <v>0</v>
      </c>
      <c r="F20">
        <f>VLOOKUP(B19,Blad2!A2:B6,2,FALSE)</f>
        <v>13</v>
      </c>
      <c r="H20" s="4">
        <f>B20*F20</f>
        <v>0</v>
      </c>
    </row>
    <row r="21" spans="2:15" x14ac:dyDescent="0.25">
      <c r="B21" s="9">
        <f>B6</f>
        <v>0</v>
      </c>
      <c r="C21" t="s">
        <v>2</v>
      </c>
      <c r="F21">
        <v>4.4000000000000004</v>
      </c>
      <c r="H21" s="4">
        <f>B21*F21</f>
        <v>0</v>
      </c>
    </row>
    <row r="22" spans="2:15" x14ac:dyDescent="0.25">
      <c r="B22" s="9">
        <f>B7</f>
        <v>0</v>
      </c>
      <c r="C22" t="s">
        <v>3</v>
      </c>
      <c r="F22">
        <v>4.4000000000000004</v>
      </c>
      <c r="H22" s="4">
        <f>B22*F22</f>
        <v>0</v>
      </c>
    </row>
    <row r="23" spans="2:15" x14ac:dyDescent="0.25">
      <c r="B23" s="9"/>
      <c r="H23" s="4">
        <f>SUM(H20:H22)</f>
        <v>0</v>
      </c>
    </row>
    <row r="24" spans="2:15" x14ac:dyDescent="0.25">
      <c r="B24" s="9"/>
      <c r="H24" s="4"/>
    </row>
    <row r="25" spans="2:15" x14ac:dyDescent="0.25">
      <c r="B25" s="41" t="s">
        <v>9</v>
      </c>
      <c r="C25" s="32"/>
      <c r="D25" s="32"/>
      <c r="E25" s="32"/>
      <c r="F25" s="32"/>
      <c r="G25" s="32"/>
      <c r="H25" s="14" t="e">
        <f>H23/H8</f>
        <v>#DIV/0!</v>
      </c>
    </row>
    <row r="26" spans="2:15" x14ac:dyDescent="0.25">
      <c r="B26" s="39" t="s">
        <v>30</v>
      </c>
      <c r="C26" s="40"/>
      <c r="D26" s="40"/>
      <c r="E26" s="40"/>
      <c r="F26" s="40"/>
      <c r="G26" s="40"/>
      <c r="H26" s="15">
        <v>0.16400000000000001</v>
      </c>
    </row>
    <row r="27" spans="2:15" ht="31.5" customHeight="1" x14ac:dyDescent="0.25">
      <c r="B27" s="36" t="s">
        <v>32</v>
      </c>
      <c r="C27" s="37"/>
      <c r="D27" s="37"/>
      <c r="E27" s="37"/>
      <c r="F27" s="37"/>
      <c r="G27" s="37"/>
      <c r="H27" s="38"/>
      <c r="I27" s="23"/>
      <c r="J27" s="24"/>
      <c r="K27" s="24"/>
      <c r="L27" s="24"/>
      <c r="M27" s="24"/>
      <c r="N27" s="24"/>
      <c r="O27" s="25"/>
    </row>
    <row r="28" spans="2:15" x14ac:dyDescent="0.25">
      <c r="B28" s="2">
        <v>0</v>
      </c>
      <c r="C28" t="s">
        <v>10</v>
      </c>
      <c r="H28" s="4"/>
      <c r="I28" s="9"/>
      <c r="O28" s="4"/>
    </row>
    <row r="29" spans="2:15" x14ac:dyDescent="0.25">
      <c r="B29" s="2">
        <v>0</v>
      </c>
      <c r="C29" t="s">
        <v>11</v>
      </c>
      <c r="H29" s="4"/>
      <c r="I29" s="9"/>
      <c r="O29" s="4"/>
    </row>
    <row r="30" spans="2:15" x14ac:dyDescent="0.25">
      <c r="B30" s="2">
        <v>0</v>
      </c>
      <c r="C30" t="s">
        <v>12</v>
      </c>
      <c r="H30" s="4"/>
      <c r="I30" s="9"/>
      <c r="O30" s="4"/>
    </row>
    <row r="31" spans="2:15" x14ac:dyDescent="0.25">
      <c r="B31" s="9"/>
      <c r="H31" s="4"/>
      <c r="I31" s="9"/>
      <c r="O31" s="4"/>
    </row>
    <row r="32" spans="2:15" x14ac:dyDescent="0.25">
      <c r="B32" s="2"/>
      <c r="C32" t="s">
        <v>13</v>
      </c>
      <c r="H32" s="4"/>
      <c r="I32" s="9"/>
      <c r="O32" s="4"/>
    </row>
    <row r="33" spans="2:15" x14ac:dyDescent="0.25">
      <c r="B33" s="9"/>
      <c r="H33" s="4"/>
      <c r="I33" s="9"/>
      <c r="O33" s="4"/>
    </row>
    <row r="34" spans="2:15" x14ac:dyDescent="0.25">
      <c r="B34" s="2">
        <v>0</v>
      </c>
      <c r="C34" t="s">
        <v>26</v>
      </c>
      <c r="H34" s="4"/>
      <c r="I34" s="9"/>
      <c r="O34" s="4"/>
    </row>
    <row r="35" spans="2:15" x14ac:dyDescent="0.25">
      <c r="B35" s="9"/>
      <c r="H35" s="4"/>
      <c r="I35" s="9"/>
      <c r="O35" s="4"/>
    </row>
    <row r="36" spans="2:15" x14ac:dyDescent="0.25">
      <c r="B36" s="9"/>
      <c r="H36" s="4"/>
      <c r="I36" s="9"/>
      <c r="O36" s="4"/>
    </row>
    <row r="37" spans="2:15" ht="21" x14ac:dyDescent="0.35">
      <c r="B37" s="9" t="str">
        <f>IF(ISBLANK(B32),B19,B32)</f>
        <v>1.100 Overige stalsystemen</v>
      </c>
      <c r="C37" t="s">
        <v>7</v>
      </c>
      <c r="F37" t="s">
        <v>8</v>
      </c>
      <c r="H37" s="4"/>
      <c r="I37" s="16"/>
      <c r="J37" s="17"/>
      <c r="K37" s="17"/>
      <c r="L37" s="17"/>
      <c r="M37" s="17"/>
      <c r="N37" s="17"/>
      <c r="O37" s="18"/>
    </row>
    <row r="38" spans="2:15" ht="21" x14ac:dyDescent="0.35">
      <c r="B38" s="9">
        <f>B5-B28</f>
        <v>0</v>
      </c>
      <c r="C38" t="s">
        <v>0</v>
      </c>
      <c r="F38">
        <f>VLOOKUP(B37,Blad2!A2:B6,2,FALSE)</f>
        <v>13</v>
      </c>
      <c r="H38" s="4">
        <f>B38*F38</f>
        <v>0</v>
      </c>
      <c r="I38" s="19"/>
      <c r="J38" s="20"/>
      <c r="K38" s="20"/>
      <c r="L38" s="20"/>
      <c r="M38" s="20"/>
      <c r="N38" s="20"/>
      <c r="O38" s="21"/>
    </row>
    <row r="39" spans="2:15" x14ac:dyDescent="0.25">
      <c r="B39" s="9">
        <f>B6-B29</f>
        <v>0</v>
      </c>
      <c r="C39" t="s">
        <v>2</v>
      </c>
      <c r="F39">
        <v>4.4000000000000004</v>
      </c>
      <c r="H39" s="4">
        <f>B39*F39</f>
        <v>0</v>
      </c>
    </row>
    <row r="40" spans="2:15" x14ac:dyDescent="0.25">
      <c r="B40" s="9">
        <f>B7-B30</f>
        <v>0</v>
      </c>
      <c r="C40" t="s">
        <v>3</v>
      </c>
      <c r="F40">
        <v>4.4000000000000004</v>
      </c>
      <c r="H40" s="4">
        <f>B40*F40</f>
        <v>0</v>
      </c>
    </row>
    <row r="41" spans="2:15" x14ac:dyDescent="0.25">
      <c r="B41" s="9"/>
      <c r="H41" s="4">
        <f>SUM(H38:H40)</f>
        <v>0</v>
      </c>
    </row>
    <row r="42" spans="2:15" x14ac:dyDescent="0.25">
      <c r="B42" s="9"/>
      <c r="H42" s="4"/>
    </row>
    <row r="43" spans="2:15" x14ac:dyDescent="0.25">
      <c r="B43" s="9"/>
      <c r="H43" s="4"/>
    </row>
    <row r="44" spans="2:15" x14ac:dyDescent="0.25">
      <c r="B44" s="41" t="s">
        <v>9</v>
      </c>
      <c r="C44" s="32"/>
      <c r="D44" s="32"/>
      <c r="E44" s="32"/>
      <c r="F44" s="32"/>
      <c r="G44" s="32"/>
      <c r="H44" s="14" t="e">
        <f>H41/(H8+B34)</f>
        <v>#DIV/0!</v>
      </c>
    </row>
    <row r="45" spans="2:15" x14ac:dyDescent="0.25">
      <c r="B45" s="39" t="s">
        <v>18</v>
      </c>
      <c r="C45" s="40"/>
      <c r="D45" s="40"/>
      <c r="E45" s="40"/>
      <c r="F45" s="40"/>
      <c r="G45" s="40"/>
      <c r="H45" s="22" t="e">
        <f>(H25-H26)/H25</f>
        <v>#DIV/0!</v>
      </c>
    </row>
    <row r="46" spans="2:15" ht="21" x14ac:dyDescent="0.35">
      <c r="B46" s="26" t="s">
        <v>55</v>
      </c>
      <c r="C46" s="27"/>
      <c r="D46" s="27"/>
      <c r="E46" s="27"/>
      <c r="F46" s="27"/>
      <c r="G46" s="27"/>
      <c r="H46" s="28"/>
    </row>
    <row r="47" spans="2:15" x14ac:dyDescent="0.25">
      <c r="B47" s="9">
        <f>B28</f>
        <v>0</v>
      </c>
      <c r="C47" t="str">
        <f>C28</f>
        <v>Melkkoeien weg doen</v>
      </c>
      <c r="G47">
        <f>B47*B4*0.3</f>
        <v>0</v>
      </c>
      <c r="H47" s="4" t="s">
        <v>58</v>
      </c>
    </row>
    <row r="48" spans="2:15" x14ac:dyDescent="0.25">
      <c r="B48" s="9">
        <f t="shared" ref="B48:B53" si="1">B29</f>
        <v>0</v>
      </c>
      <c r="C48" t="str">
        <f t="shared" ref="C48:C53" si="2">C29</f>
        <v>kalveren weg doen</v>
      </c>
      <c r="G48">
        <f>(2000-1000-300)*B48</f>
        <v>0</v>
      </c>
      <c r="H48" s="4" t="s">
        <v>57</v>
      </c>
    </row>
    <row r="49" spans="2:8" x14ac:dyDescent="0.25">
      <c r="B49" s="9">
        <f t="shared" si="1"/>
        <v>0</v>
      </c>
      <c r="C49" t="str">
        <f t="shared" si="2"/>
        <v>pinken weg doen</v>
      </c>
      <c r="G49">
        <f>(2000-1000)*B49</f>
        <v>0</v>
      </c>
      <c r="H49" s="4" t="s">
        <v>57</v>
      </c>
    </row>
    <row r="50" spans="2:8" x14ac:dyDescent="0.25">
      <c r="B50" s="9">
        <f t="shared" si="1"/>
        <v>0</v>
      </c>
      <c r="C50">
        <f t="shared" si="2"/>
        <v>0</v>
      </c>
      <c r="H50" s="4"/>
    </row>
    <row r="51" spans="2:8" x14ac:dyDescent="0.25">
      <c r="B51" s="9">
        <f t="shared" si="1"/>
        <v>0</v>
      </c>
      <c r="C51" t="str">
        <f t="shared" si="2"/>
        <v>Investering emissie arm systeem</v>
      </c>
      <c r="G51">
        <f>B38*(VLOOKUP(B51,Blad2!A2:C7,3,FALSE))</f>
        <v>0</v>
      </c>
      <c r="H51" s="4"/>
    </row>
    <row r="52" spans="2:8" x14ac:dyDescent="0.25">
      <c r="B52" s="9">
        <f t="shared" si="1"/>
        <v>0</v>
      </c>
      <c r="C52">
        <f t="shared" si="2"/>
        <v>0</v>
      </c>
      <c r="H52" s="4"/>
    </row>
    <row r="53" spans="2:8" x14ac:dyDescent="0.25">
      <c r="B53" s="9">
        <f t="shared" si="1"/>
        <v>0</v>
      </c>
      <c r="C53" t="str">
        <f t="shared" si="2"/>
        <v>Aantal fosfaatrechten bijkopen</v>
      </c>
      <c r="G53">
        <f>B53*250</f>
        <v>0</v>
      </c>
      <c r="H53" s="4"/>
    </row>
    <row r="54" spans="2:8" x14ac:dyDescent="0.25">
      <c r="B54" s="9"/>
      <c r="H54" s="4"/>
    </row>
    <row r="55" spans="2:8" x14ac:dyDescent="0.25">
      <c r="B55" s="9"/>
      <c r="H55" s="4"/>
    </row>
    <row r="56" spans="2:8" ht="21" x14ac:dyDescent="0.35">
      <c r="B56" s="16"/>
      <c r="C56" s="17" t="s">
        <v>59</v>
      </c>
      <c r="D56" s="17"/>
      <c r="E56" s="17"/>
      <c r="F56" s="17"/>
      <c r="G56" s="17">
        <f>G47+G48+G49</f>
        <v>0</v>
      </c>
      <c r="H56" s="18"/>
    </row>
    <row r="57" spans="2:8" ht="21" x14ac:dyDescent="0.35">
      <c r="B57" s="19"/>
      <c r="C57" s="20" t="s">
        <v>60</v>
      </c>
      <c r="D57" s="20"/>
      <c r="E57" s="20"/>
      <c r="F57" s="20"/>
      <c r="G57" s="20">
        <f>G51+G53</f>
        <v>0</v>
      </c>
      <c r="H57" s="21"/>
    </row>
  </sheetData>
  <sheetProtection algorithmName="SHA-512" hashValue="M2IqeYkEtxAp5bwf+GhkVMLSfwPTIItSI/V0raTTBQYjwo2mh0X7oxfCrHW8VfNPk5JsdkyDIqJ+8pH8Bmyv3g==" saltValue="B4S1OtF8wqA67puAeJidfw==" spinCount="100000" sheet="1" objects="1" scenarios="1" selectLockedCells="1"/>
  <mergeCells count="11">
    <mergeCell ref="I27:O27"/>
    <mergeCell ref="B46:H46"/>
    <mergeCell ref="B3:H3"/>
    <mergeCell ref="B1:H1"/>
    <mergeCell ref="B18:H18"/>
    <mergeCell ref="B27:H27"/>
    <mergeCell ref="B45:G45"/>
    <mergeCell ref="B44:G44"/>
    <mergeCell ref="B10:H10"/>
    <mergeCell ref="B25:G25"/>
    <mergeCell ref="B26:G26"/>
  </mergeCells>
  <conditionalFormatting sqref="H25">
    <cfRule type="expression" dxfId="3" priority="1">
      <formula>$H$25&gt;0.1645</formula>
    </cfRule>
    <cfRule type="expression" dxfId="2" priority="2">
      <formula>$H$25&lt;0.165</formula>
    </cfRule>
  </conditionalFormatting>
  <conditionalFormatting sqref="H44">
    <cfRule type="expression" dxfId="1" priority="3">
      <formula>$H$44&gt;0.1645</formula>
    </cfRule>
    <cfRule type="expression" dxfId="0" priority="4">
      <formula>$H$44&lt;0.165</formula>
    </cfRule>
  </conditionalFormatting>
  <pageMargins left="0.7" right="0.7" top="0.75" bottom="0.75" header="0.3" footer="0.3"/>
  <pageSetup paperSize="9" orientation="portrait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6D2F404-2A71-4AE1-AB0A-BD1B4A67BF39}">
          <x14:formula1>
            <xm:f>Blad2!$A$2:$A$6</xm:f>
          </x14:formula1>
          <xm:sqref>B19</xm:sqref>
        </x14:dataValidation>
        <x14:dataValidation type="list" allowBlank="1" showInputMessage="1" showErrorMessage="1" xr:uid="{D0A6834A-4FDC-482D-9AE9-DC4B67FDDE43}">
          <x14:formula1>
            <xm:f>Blad2!$A$2:$A$7</xm:f>
          </x14:formula1>
          <xm:sqref>B32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D3E64-81A3-4123-80BB-FDA2F7042989}">
  <sheetPr codeName="Blad2"/>
  <dimension ref="A1:M22"/>
  <sheetViews>
    <sheetView workbookViewId="0">
      <selection activeCell="A8" sqref="A8"/>
    </sheetView>
  </sheetViews>
  <sheetFormatPr defaultRowHeight="15" x14ac:dyDescent="0.25"/>
  <cols>
    <col min="1" max="1" width="28.28515625" bestFit="1" customWidth="1"/>
    <col min="8" max="8" width="12.5703125" bestFit="1" customWidth="1"/>
  </cols>
  <sheetData>
    <row r="1" spans="1:13" x14ac:dyDescent="0.25">
      <c r="A1" t="s">
        <v>19</v>
      </c>
      <c r="B1" t="s">
        <v>24</v>
      </c>
      <c r="G1">
        <v>0</v>
      </c>
      <c r="H1" t="s">
        <v>33</v>
      </c>
      <c r="I1">
        <v>32.4</v>
      </c>
    </row>
    <row r="2" spans="1:13" x14ac:dyDescent="0.25">
      <c r="A2" t="s">
        <v>20</v>
      </c>
      <c r="B2">
        <v>8</v>
      </c>
      <c r="C2">
        <v>1150</v>
      </c>
      <c r="D2" t="s">
        <v>56</v>
      </c>
      <c r="G2">
        <v>5625</v>
      </c>
      <c r="H2" t="s">
        <v>34</v>
      </c>
      <c r="I2">
        <v>34</v>
      </c>
    </row>
    <row r="3" spans="1:13" x14ac:dyDescent="0.25">
      <c r="A3" t="s">
        <v>21</v>
      </c>
      <c r="B3">
        <v>8</v>
      </c>
      <c r="C3">
        <v>900</v>
      </c>
      <c r="D3" t="s">
        <v>56</v>
      </c>
      <c r="G3">
        <v>5875</v>
      </c>
      <c r="H3" t="s">
        <v>35</v>
      </c>
      <c r="I3">
        <v>34.799999999999997</v>
      </c>
    </row>
    <row r="4" spans="1:13" x14ac:dyDescent="0.25">
      <c r="A4" t="s">
        <v>22</v>
      </c>
      <c r="B4">
        <v>6</v>
      </c>
      <c r="C4">
        <f>30000/25</f>
        <v>1200</v>
      </c>
      <c r="D4" t="s">
        <v>56</v>
      </c>
      <c r="G4">
        <v>6125</v>
      </c>
      <c r="H4" t="s">
        <v>36</v>
      </c>
      <c r="I4">
        <v>35.5</v>
      </c>
    </row>
    <row r="5" spans="1:13" x14ac:dyDescent="0.25">
      <c r="A5" t="s">
        <v>23</v>
      </c>
      <c r="B5">
        <v>3</v>
      </c>
      <c r="C5">
        <v>2500</v>
      </c>
      <c r="D5" t="s">
        <v>56</v>
      </c>
      <c r="G5">
        <v>6375</v>
      </c>
      <c r="H5" t="s">
        <v>37</v>
      </c>
      <c r="I5">
        <v>36.200000000000003</v>
      </c>
    </row>
    <row r="6" spans="1:13" ht="16.5" x14ac:dyDescent="0.25">
      <c r="A6" t="s">
        <v>25</v>
      </c>
      <c r="B6">
        <v>13</v>
      </c>
      <c r="C6">
        <v>0</v>
      </c>
      <c r="D6" t="s">
        <v>56</v>
      </c>
      <c r="G6" s="1">
        <v>6625</v>
      </c>
      <c r="H6" t="s">
        <v>38</v>
      </c>
      <c r="I6">
        <v>36.9</v>
      </c>
      <c r="M6">
        <f>350+100</f>
        <v>450</v>
      </c>
    </row>
    <row r="7" spans="1:13" ht="16.5" x14ac:dyDescent="0.25">
      <c r="A7">
        <v>0</v>
      </c>
      <c r="B7">
        <v>13</v>
      </c>
      <c r="C7">
        <v>0</v>
      </c>
      <c r="D7" t="s">
        <v>56</v>
      </c>
      <c r="G7" s="1">
        <v>6875</v>
      </c>
      <c r="H7" t="s">
        <v>39</v>
      </c>
      <c r="I7">
        <v>37.700000000000003</v>
      </c>
    </row>
    <row r="8" spans="1:13" ht="16.5" x14ac:dyDescent="0.25">
      <c r="G8" s="1">
        <v>7125</v>
      </c>
      <c r="H8" t="s">
        <v>40</v>
      </c>
      <c r="I8">
        <v>38.4</v>
      </c>
    </row>
    <row r="9" spans="1:13" ht="16.5" x14ac:dyDescent="0.25">
      <c r="G9" s="1">
        <v>7375</v>
      </c>
      <c r="H9" t="s">
        <v>41</v>
      </c>
      <c r="I9">
        <v>39.1</v>
      </c>
    </row>
    <row r="10" spans="1:13" ht="16.5" x14ac:dyDescent="0.25">
      <c r="G10" s="1">
        <v>7625</v>
      </c>
      <c r="H10" t="s">
        <v>42</v>
      </c>
      <c r="I10">
        <v>39.799999999999997</v>
      </c>
    </row>
    <row r="11" spans="1:13" ht="16.5" x14ac:dyDescent="0.25">
      <c r="A11">
        <v>350000</v>
      </c>
      <c r="B11">
        <v>450000</v>
      </c>
      <c r="G11" s="1">
        <v>7875</v>
      </c>
      <c r="H11" t="s">
        <v>43</v>
      </c>
      <c r="I11">
        <v>40.6</v>
      </c>
    </row>
    <row r="12" spans="1:13" ht="16.5" x14ac:dyDescent="0.25">
      <c r="A12">
        <v>150</v>
      </c>
      <c r="B12">
        <v>150</v>
      </c>
      <c r="G12" s="1">
        <v>8125</v>
      </c>
      <c r="H12" t="s">
        <v>44</v>
      </c>
      <c r="I12">
        <v>41.3</v>
      </c>
    </row>
    <row r="13" spans="1:13" ht="16.5" x14ac:dyDescent="0.25">
      <c r="A13">
        <f>A11/A12</f>
        <v>2333.3333333333335</v>
      </c>
      <c r="B13">
        <f>B11/B12</f>
        <v>3000</v>
      </c>
      <c r="G13" s="1">
        <v>8375</v>
      </c>
      <c r="H13" t="s">
        <v>45</v>
      </c>
      <c r="I13">
        <v>42</v>
      </c>
    </row>
    <row r="14" spans="1:13" ht="16.5" x14ac:dyDescent="0.25">
      <c r="G14" s="1">
        <v>8625</v>
      </c>
      <c r="H14" t="s">
        <v>46</v>
      </c>
      <c r="I14">
        <v>42.7</v>
      </c>
    </row>
    <row r="15" spans="1:13" ht="16.5" x14ac:dyDescent="0.25">
      <c r="G15" s="1">
        <v>8875</v>
      </c>
      <c r="H15" t="s">
        <v>47</v>
      </c>
      <c r="I15">
        <v>43.5</v>
      </c>
    </row>
    <row r="16" spans="1:13" ht="16.5" x14ac:dyDescent="0.25">
      <c r="G16" s="1">
        <v>9125</v>
      </c>
      <c r="H16" t="s">
        <v>48</v>
      </c>
      <c r="I16">
        <v>44.2</v>
      </c>
    </row>
    <row r="17" spans="7:9" ht="16.5" x14ac:dyDescent="0.25">
      <c r="G17" s="1">
        <v>9375</v>
      </c>
      <c r="H17" t="s">
        <v>49</v>
      </c>
      <c r="I17">
        <v>44.9</v>
      </c>
    </row>
    <row r="18" spans="7:9" ht="16.5" x14ac:dyDescent="0.25">
      <c r="G18" s="1">
        <v>9625</v>
      </c>
      <c r="H18" t="s">
        <v>50</v>
      </c>
      <c r="I18">
        <v>45.6</v>
      </c>
    </row>
    <row r="19" spans="7:9" ht="16.5" x14ac:dyDescent="0.25">
      <c r="G19" s="1">
        <v>9875</v>
      </c>
      <c r="H19" t="s">
        <v>51</v>
      </c>
      <c r="I19">
        <v>46.4</v>
      </c>
    </row>
    <row r="20" spans="7:9" ht="16.5" x14ac:dyDescent="0.25">
      <c r="G20" s="1">
        <v>10125</v>
      </c>
      <c r="H20" t="s">
        <v>52</v>
      </c>
      <c r="I20">
        <v>47.1</v>
      </c>
    </row>
    <row r="21" spans="7:9" ht="16.5" x14ac:dyDescent="0.25">
      <c r="G21" s="1">
        <v>10375</v>
      </c>
      <c r="H21" t="s">
        <v>53</v>
      </c>
      <c r="I21">
        <v>47.8</v>
      </c>
    </row>
    <row r="22" spans="7:9" ht="16.5" x14ac:dyDescent="0.25">
      <c r="G22" s="1">
        <v>10625</v>
      </c>
      <c r="H22" t="s">
        <v>54</v>
      </c>
      <c r="I22">
        <v>49.3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Marieke Hoepel - Snijder</dc:creator>
  <cp:lastModifiedBy>Marieke Hoepel - Snijder</cp:lastModifiedBy>
  <dcterms:created xsi:type="dcterms:W3CDTF">2026-07-14T12:26:46Z</dcterms:created>
  <dcterms:modified xsi:type="dcterms:W3CDTF">2026-07-21T10:09:10Z</dcterms:modified>
</cp:coreProperties>
</file>